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1099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3" i="1"/>
  <c r="D122" i="1"/>
  <c r="D117" i="1"/>
  <c r="D116" i="1"/>
  <c r="D115" i="1"/>
  <c r="D113" i="1"/>
  <c r="D99" i="1"/>
  <c r="D94" i="1"/>
  <c r="C133" i="1"/>
  <c r="D86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<sst xmlns="http://schemas.openxmlformats.org/spreadsheetml/2006/main" count="176" uniqueCount="164">
  <si>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</si>
  <si>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</si>
  <si>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</si>
  <si>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</si>
  <si>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</si>
  <si>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</si>
  <si>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</si>
  <si>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</si>
  <si>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</si>
  <si>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</si>
  <si>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</si>
  <si>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</si>
  <si>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</si>
  <si>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</si>
  <si>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</si>
  <si>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</si>
  <si>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</si>
  <si>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</si>
  <si>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</si>
  <si>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</si>
  <si>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</si>
  <si>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</si>
  <si>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</si>
  <si>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</si>
  <si>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</si>
  <si>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</si>
  <si>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</si>
  <si>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</si>
  <si>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</si>
  <si>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</si>
  <si>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</si>
  <si>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</si>
  <si>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</si>
  <si>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</si>
  <si>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</si>
  <si>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</si>
  <si>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</si>
  <si>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</si>
  <si>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</si>
  <si>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</si>
  <si>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</si>
  <si>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</si>
  <si>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</si>
  <si>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</si>
  <si>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</si>
  <si>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</si>
  <si>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</si>
  <si>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</si>
  <si>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</si>
  <si>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</si>
  <si>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</si>
  <si>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</si>
  <si>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</si>
  <si>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</si>
  <si>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</si>
  <si>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</si>
  <si>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</si>
  <si>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</si>
  <si>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</si>
  <si>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</si>
  <si>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</si>
  <si>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</si>
  <si>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</si>
  <si>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</si>
  <si>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</si>
  <si>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</si>
  <si>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</si>
  <si>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</si>
  <si>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</si>
  <si>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</si>
  <si>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</si>
  <si>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</si>
  <si>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</si>
  <si>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</si>
  <si>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</si>
  <si>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</si>
  <si>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</si>
  <si>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</si>
  <si>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</si>
  <si>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</si>
  <si>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</si>
  <si>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</si>
  <si>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</si>
  <si>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</si>
  <si>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</si>
  <si>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</si>
  <si>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</si>
  <si>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</si>
  <si>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</si>
  <si>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</si>
  <si>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</si>
  <si>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</si>
  <si>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</si>
  <si>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</si>
  <si>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</si>
  <si>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</si>
  <si>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</si>
  <si>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</si>
  <si>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</si>
  <si>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</si>
  <si>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</si>
  <si>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</si>
  <si>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</si>
  <si>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</si>
  <si>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</si>
  <si>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</si>
  <si>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</si>
  <si>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</si>
  <si>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</si>
  <si>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</si>
  <si>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</si>
  <si>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</si>
  <si>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</si>
  <si>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</si>
  <si>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</si>
  <si>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</si>
  <si>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</si>
  <si>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</si>
  <si>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</si>
  <si>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</si>
  <si>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</si>
  <si>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</si>
  <si>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</si>
  <si>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</si>
  <si>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</si>
  <si>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</si>
  <si>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</si>
  <si>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</si>
  <si>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</si>
  <si>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</si>
  <si>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</si>
  <si>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</si>
  <si>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</si>
  <si>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</si>
  <si>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</si>
  <si>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</si>
  <si>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</si>
  <si>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</si>
  <si>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</si>
  <si>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</si>
  <si>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</si>
  <si>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</si>
  <si>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Proposed Budget - Submitted by the Finance Committee (12/1/11)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</si>
  <si>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</si>
  <si>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</si>
  <si>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</si>
  <si>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</si>
  <si>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</si>
  <si>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</si>
  <si>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</si>
  <si>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</si>
  <si>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</si>
  <si>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</si>
  <si>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</si>
  <si>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</si>
  <si>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</si>
  <si>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</si>
  <si>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</t>
  </si>
  <si>
    <t>Per Cheryl:  ELC Board of Pensions</t>
  </si>
  <si>
    <t>Current Rate - new hire</t>
  </si>
  <si>
    <t>2011 had 2 people;  2012 should only have one</t>
  </si>
  <si>
    <t>Increased by donors</t>
  </si>
  <si>
    <t>Must have documention</t>
  </si>
  <si>
    <t>2% increase in salary (greater hours per week to reflect current 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</si>
</sst>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5" fontId="2" fillId="4" borderId="0" xfId="2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topLeftCell="A106" workbookViewId="0">
      <selection activeCell="C114" sqref="C114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47" t="s">
        <v>133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0" customHeight="1" x14ac:dyDescent="0.25">
      <c r="A2" s="48" t="s">
        <v>142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3.25" customHeight="1" x14ac:dyDescent="0.25">
      <c r="D3" s="44" t="s">
        <v>128</v>
      </c>
      <c r="E3" s="45"/>
      <c r="F3" s="45"/>
      <c r="G3" s="45"/>
      <c r="H3" s="46"/>
      <c r="J3" s="44" t="s">
        <v>129</v>
      </c>
      <c r="K3" s="45"/>
      <c r="L3" s="46"/>
    </row>
    <row r="4" spans="1:13" s="5" customFormat="1" ht="53.25" customHeight="1" x14ac:dyDescent="0.25">
      <c r="D4" s="2" t="s">
        <v>14</v>
      </c>
      <c r="E4" s="3" t="s">
        <v>130</v>
      </c>
      <c r="F4" s="3" t="s">
        <v>131</v>
      </c>
      <c r="G4" s="3" t="s">
        <v>132</v>
      </c>
      <c r="H4" s="4" t="s">
        <v>127</v>
      </c>
      <c r="J4" s="2" t="s">
        <v>124</v>
      </c>
      <c r="K4" s="3" t="s">
        <v>123</v>
      </c>
      <c r="L4" s="4" t="s">
        <v>126</v>
      </c>
      <c r="M4" s="10" t="s">
        <v>144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ROUND(565000-(11248*1.1),0)+427</f>
        <v>553054</v>
      </c>
      <c r="E7" s="6">
        <v>556300</v>
      </c>
      <c r="F7" s="7">
        <f>IF(E7=0,"NA",(+D7-E7)/E7)</f>
        <v>-5.8349811252921087E-3</v>
      </c>
      <c r="G7" s="6">
        <v>542338</v>
      </c>
      <c r="H7" s="7">
        <f t="shared" ref="H7:H13" si="0">IF(G7=0,"NA",(+D7-G7)/G7)</f>
        <v>1.9758895743982534E-2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565754</v>
      </c>
      <c r="E13" s="15">
        <f>SUM(E7:E12)</f>
        <v>569000</v>
      </c>
      <c r="F13" s="16">
        <f t="shared" si="2"/>
        <v>-5.7047451669595779E-3</v>
      </c>
      <c r="G13" s="15">
        <f>SUM(G7:G12)</f>
        <v>557375</v>
      </c>
      <c r="H13" s="16">
        <f t="shared" si="0"/>
        <v>1.5032967032967033E-2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13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11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12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15</v>
      </c>
      <c r="B22" s="15"/>
      <c r="C22" s="15"/>
      <c r="D22" s="15">
        <f>+D13+D21</f>
        <v>575754</v>
      </c>
      <c r="E22" s="15">
        <f>+E13+E21</f>
        <v>579000</v>
      </c>
      <c r="F22" s="16">
        <f t="shared" si="3"/>
        <v>-5.6062176165803113E-3</v>
      </c>
      <c r="G22" s="15">
        <f t="shared" ref="G22" si="8">+G13+G21</f>
        <v>570252</v>
      </c>
      <c r="H22" s="16">
        <f t="shared" si="4"/>
        <v>9.6483659855642768E-3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16</v>
      </c>
      <c r="F24" s="8"/>
    </row>
    <row r="25" spans="1:13" ht="18.75" x14ac:dyDescent="0.25">
      <c r="A25" s="11" t="s">
        <v>155</v>
      </c>
      <c r="F25" s="8"/>
    </row>
    <row r="26" spans="1:13" x14ac:dyDescent="0.25">
      <c r="B26" s="1" t="s">
        <v>18</v>
      </c>
      <c r="D26" s="1">
        <f>+D22</f>
        <v>575754</v>
      </c>
      <c r="F26" s="8"/>
    </row>
    <row r="27" spans="1:13" x14ac:dyDescent="0.25">
      <c r="B27" s="1" t="s">
        <v>17</v>
      </c>
      <c r="D27" s="6">
        <v>-54876</v>
      </c>
      <c r="E27" s="6"/>
      <c r="F27" s="8"/>
    </row>
    <row r="28" spans="1:13" x14ac:dyDescent="0.25">
      <c r="B28" s="1" t="s">
        <v>19</v>
      </c>
      <c r="D28" s="6">
        <v>-5000</v>
      </c>
      <c r="E28" s="6"/>
      <c r="F28" s="8"/>
    </row>
    <row r="29" spans="1:13" x14ac:dyDescent="0.25">
      <c r="B29" s="1" t="s">
        <v>20</v>
      </c>
      <c r="D29" s="6">
        <v>-660</v>
      </c>
      <c r="E29" s="6"/>
      <c r="F29" s="8"/>
    </row>
    <row r="30" spans="1:13" x14ac:dyDescent="0.25">
      <c r="B30" s="1" t="s">
        <v>18</v>
      </c>
      <c r="D30" s="1">
        <f>SUM(D26:D29)</f>
        <v>515218</v>
      </c>
      <c r="F30" s="8"/>
    </row>
    <row r="31" spans="1:13" s="5" customFormat="1" x14ac:dyDescent="0.25">
      <c r="A31" s="18"/>
      <c r="B31" s="19" t="s">
        <v>156</v>
      </c>
      <c r="C31" s="18"/>
      <c r="D31" s="18">
        <f>ROUND(+D30*0.1,0)</f>
        <v>51522</v>
      </c>
      <c r="E31" s="20">
        <v>51750</v>
      </c>
      <c r="F31" s="21">
        <f>IF(E31=0,"NA",(+D31-E31)/E31)</f>
        <v>-4.4057971014492756E-3</v>
      </c>
      <c r="G31" s="20">
        <v>51179</v>
      </c>
      <c r="H31" s="21">
        <f>IF(G31=0,"NA",(+D31-G31)/G31)</f>
        <v>6.7019676039000373E-3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150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95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21</v>
      </c>
      <c r="F34" s="8"/>
    </row>
    <row r="35" spans="1:13" x14ac:dyDescent="0.25">
      <c r="B35" s="1" t="s">
        <v>125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25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26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27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28</v>
      </c>
      <c r="F45" s="8"/>
    </row>
    <row r="46" spans="1:13" x14ac:dyDescent="0.25">
      <c r="B46" s="1" t="s">
        <v>30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146</v>
      </c>
    </row>
    <row r="48" spans="1:13" x14ac:dyDescent="0.25">
      <c r="B48" s="1" t="s">
        <v>32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148</v>
      </c>
    </row>
    <row r="50" spans="1:13" s="5" customFormat="1" x14ac:dyDescent="0.25">
      <c r="A50" s="27" t="s">
        <v>29</v>
      </c>
      <c r="B50" s="27"/>
      <c r="C50" s="27"/>
      <c r="D50" s="27">
        <f>SUM(D46:D49)</f>
        <v>7850</v>
      </c>
      <c r="E50" s="27">
        <f>SUM(E46:E49)</f>
        <v>6700</v>
      </c>
      <c r="F50" s="28">
        <f t="shared" si="15"/>
        <v>0.17164179104477612</v>
      </c>
      <c r="G50" s="27">
        <f>SUM(G46:G49)</f>
        <v>8126</v>
      </c>
      <c r="H50" s="28">
        <f>IF(G50=0,"NA",(+D50-G50)/G50)</f>
        <v>-3.3965050455328577E-2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34</v>
      </c>
      <c r="F52" s="8"/>
    </row>
    <row r="53" spans="1:13" x14ac:dyDescent="0.25">
      <c r="B53" s="1" t="s">
        <v>35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145</v>
      </c>
    </row>
    <row r="56" spans="1:13" s="5" customFormat="1" x14ac:dyDescent="0.25">
      <c r="A56" s="27" t="s">
        <v>38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138</v>
      </c>
      <c r="F58" s="8"/>
    </row>
    <row r="59" spans="1:13" x14ac:dyDescent="0.25">
      <c r="B59" s="1" t="s">
        <v>139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147</v>
      </c>
    </row>
    <row r="61" spans="1:13" s="5" customFormat="1" x14ac:dyDescent="0.25">
      <c r="A61" s="27" t="s">
        <v>140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39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40</v>
      </c>
      <c r="F65" s="8"/>
    </row>
    <row r="66" spans="1:13" x14ac:dyDescent="0.25">
      <c r="B66" s="1" t="s">
        <v>41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43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45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46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47</v>
      </c>
      <c r="F73" s="8"/>
    </row>
    <row r="74" spans="1:13" x14ac:dyDescent="0.25">
      <c r="B74" s="1" t="s">
        <v>48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57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137</v>
      </c>
      <c r="B82" s="32"/>
      <c r="C82" s="32"/>
      <c r="D82" s="27">
        <f>+D41+D43+D50+D56+D63+D71+D81+D61</f>
        <v>61150</v>
      </c>
      <c r="E82" s="27">
        <f>+E41+E43+E50+E56+E63+E71+E81+E61</f>
        <v>66900</v>
      </c>
      <c r="F82" s="28">
        <f t="shared" si="21"/>
        <v>-8.5949177877428992E-2</v>
      </c>
      <c r="G82" s="27">
        <f>+G41+G43+G50+G56+G63+G71+G81+G61</f>
        <v>64017</v>
      </c>
      <c r="H82" s="28">
        <f t="shared" si="22"/>
        <v>-4.4784978989955794E-2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55</v>
      </c>
      <c r="F84" s="8"/>
    </row>
    <row r="85" spans="1:13" x14ac:dyDescent="0.25">
      <c r="A85" s="5" t="s">
        <v>56</v>
      </c>
      <c r="F85" s="8"/>
    </row>
    <row r="86" spans="1:13" x14ac:dyDescent="0.25">
      <c r="B86" s="1" t="s">
        <v>58</v>
      </c>
      <c r="D86" s="6">
        <f>ROUND(+E86*C133,0)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x14ac:dyDescent="0.25">
      <c r="B87" s="1" t="s">
        <v>59</v>
      </c>
      <c r="D87" s="6">
        <v>4500</v>
      </c>
      <c r="E87" s="6">
        <v>5500</v>
      </c>
      <c r="F87" s="7">
        <f t="shared" si="24"/>
        <v>-0.18181818181818182</v>
      </c>
      <c r="G87" s="6">
        <v>5500</v>
      </c>
      <c r="H87" s="7">
        <f t="shared" si="25"/>
        <v>-0.18181818181818182</v>
      </c>
      <c r="J87" s="6">
        <v>5041.63</v>
      </c>
      <c r="K87" s="6">
        <v>5041.63</v>
      </c>
      <c r="L87" s="7">
        <f t="shared" si="26"/>
        <v>0</v>
      </c>
      <c r="M87" s="9" t="s">
        <v>162</v>
      </c>
    </row>
    <row r="88" spans="1:13" ht="30" x14ac:dyDescent="0.25">
      <c r="B88" s="1" t="s">
        <v>60</v>
      </c>
      <c r="D88" s="6">
        <v>34531</v>
      </c>
      <c r="E88" s="6">
        <v>34603</v>
      </c>
      <c r="F88" s="7">
        <f t="shared" si="24"/>
        <v>-2.0807444441233421E-3</v>
      </c>
      <c r="G88" s="6">
        <v>33221</v>
      </c>
      <c r="H88" s="7">
        <f t="shared" si="25"/>
        <v>3.9432888835375213E-2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158</v>
      </c>
    </row>
    <row r="89" spans="1:13" x14ac:dyDescent="0.25">
      <c r="B89" s="1" t="s">
        <v>61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63</v>
      </c>
      <c r="B91" s="33"/>
      <c r="C91" s="33"/>
      <c r="D91" s="33">
        <f>SUM(D86:D90)</f>
        <v>135659</v>
      </c>
      <c r="E91" s="33">
        <f>SUM(E86:E90)</f>
        <v>136834</v>
      </c>
      <c r="F91" s="34">
        <f t="shared" si="24"/>
        <v>-8.5870470789423687E-3</v>
      </c>
      <c r="G91" s="33">
        <f>SUM(G86:G90)</f>
        <v>132307</v>
      </c>
      <c r="H91" s="34">
        <f t="shared" si="25"/>
        <v>2.5335016287875926E-2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64</v>
      </c>
      <c r="F93" s="8"/>
    </row>
    <row r="94" spans="1:13" x14ac:dyDescent="0.25">
      <c r="B94" s="1" t="s">
        <v>65</v>
      </c>
      <c r="D94" s="6">
        <f>ROUND(+E94*C133,0)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6">
        <v>4000</v>
      </c>
      <c r="E95" s="6">
        <v>5000</v>
      </c>
      <c r="F95" s="7">
        <f t="shared" si="27"/>
        <v>-0.2</v>
      </c>
      <c r="G95" s="6">
        <v>5000</v>
      </c>
      <c r="H95" s="7">
        <f>IF(G95=0,"NA",(+D95-G95)/G95)</f>
        <v>-0.2</v>
      </c>
      <c r="J95" s="6">
        <v>4583.26</v>
      </c>
      <c r="K95" s="6">
        <v>4583.37</v>
      </c>
      <c r="L95" s="7">
        <f>IF(K95=0,"NA",(+J95-K95)/K95)</f>
        <v>-2.3999808001464553E-5</v>
      </c>
      <c r="M95" s="9" t="s">
        <v>162</v>
      </c>
    </row>
    <row r="96" spans="1:13" s="5" customFormat="1" x14ac:dyDescent="0.25">
      <c r="A96" s="33" t="s">
        <v>67</v>
      </c>
      <c r="B96" s="33"/>
      <c r="C96" s="33"/>
      <c r="D96" s="33">
        <f>SUM(D94:D95)</f>
        <v>15420</v>
      </c>
      <c r="E96" s="33">
        <f>SUM(E94:E95)</f>
        <v>16307</v>
      </c>
      <c r="F96" s="34">
        <f t="shared" si="27"/>
        <v>-5.4393818605506836E-2</v>
      </c>
      <c r="G96" s="33">
        <f>SUM(G94:G95)</f>
        <v>15978</v>
      </c>
      <c r="H96" s="34">
        <f>IF(G96=0,"NA",(+D96-G96)/G96)</f>
        <v>-3.4923019151333085E-2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68</v>
      </c>
      <c r="F98" s="8"/>
    </row>
    <row r="99" spans="1:13" x14ac:dyDescent="0.25">
      <c r="B99" s="1" t="s">
        <v>65</v>
      </c>
      <c r="D99" s="6">
        <f>ROUND(+E99*C133,0)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70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71</v>
      </c>
      <c r="F103" s="8"/>
    </row>
    <row r="104" spans="1:13" x14ac:dyDescent="0.25">
      <c r="B104" s="1" t="s">
        <v>65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149</v>
      </c>
    </row>
    <row r="105" spans="1:13" ht="30" x14ac:dyDescent="0.25">
      <c r="B105" s="1" t="s">
        <v>60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158</v>
      </c>
    </row>
    <row r="106" spans="1:13" x14ac:dyDescent="0.25">
      <c r="B106" s="1" t="s">
        <v>62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73</v>
      </c>
      <c r="B110" s="33"/>
      <c r="C110" s="33"/>
      <c r="D110" s="33">
        <f>SUM(D104:D109)</f>
        <v>44953</v>
      </c>
      <c r="E110" s="33">
        <f>SUM(E104:E109)</f>
        <v>43353</v>
      </c>
      <c r="F110" s="34">
        <f t="shared" si="29"/>
        <v>3.6906327128457088E-2</v>
      </c>
      <c r="G110" s="33">
        <f>SUM(G104:G109)</f>
        <v>40659</v>
      </c>
      <c r="H110" s="34">
        <f t="shared" si="30"/>
        <v>0.10561007403034998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74</v>
      </c>
      <c r="F112" s="8"/>
    </row>
    <row r="113" spans="1:15" x14ac:dyDescent="0.25">
      <c r="B113" s="1" t="s">
        <v>75</v>
      </c>
      <c r="D113" s="50">
        <f>ROUND(E113*C$133,0)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50">
        <f t="shared" ref="D115:D117" si="35">ROUND(E115*C$133,0)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50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79</v>
      </c>
      <c r="D117" s="50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81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82</v>
      </c>
      <c r="F121" s="8"/>
    </row>
    <row r="122" spans="1:15" ht="45" x14ac:dyDescent="0.25">
      <c r="B122" s="1" t="s">
        <v>135</v>
      </c>
      <c r="D122" s="50">
        <f>ROUND((13.66*C133)*18*50,0)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163</v>
      </c>
      <c r="O122" s="35"/>
    </row>
    <row r="123" spans="1:15" ht="39.75" customHeight="1" x14ac:dyDescent="0.25">
      <c r="B123" s="1" t="s">
        <v>84</v>
      </c>
      <c r="D123" s="50">
        <f>ROUND(+E123/2*0.01,0)+E123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M123" s="9" t="s">
        <v>151</v>
      </c>
    </row>
    <row r="124" spans="1:15" x14ac:dyDescent="0.25">
      <c r="B124" s="1" t="s">
        <v>85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</row>
    <row r="125" spans="1:15" x14ac:dyDescent="0.25">
      <c r="B125" s="1" t="s">
        <v>86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</row>
    <row r="126" spans="1:15" ht="30" x14ac:dyDescent="0.25">
      <c r="B126" s="1" t="s">
        <v>87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160</v>
      </c>
      <c r="N126" s="6"/>
    </row>
    <row r="127" spans="1:15" x14ac:dyDescent="0.25">
      <c r="B127" s="1" t="s">
        <v>136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159</v>
      </c>
    </row>
    <row r="128" spans="1:15" x14ac:dyDescent="0.25">
      <c r="B128" s="1" t="s">
        <v>88</v>
      </c>
      <c r="D128" s="6">
        <v>9978</v>
      </c>
      <c r="E128" s="6">
        <v>10025</v>
      </c>
      <c r="F128" s="7">
        <f t="shared" si="36"/>
        <v>-4.6882793017456355E-3</v>
      </c>
      <c r="G128" s="6">
        <v>9696</v>
      </c>
      <c r="H128" s="7">
        <f t="shared" si="37"/>
        <v>2.9084158415841586E-2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157</v>
      </c>
    </row>
    <row r="129" spans="1:13" x14ac:dyDescent="0.25">
      <c r="B129" s="1" t="s">
        <v>89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9" t="s">
        <v>157</v>
      </c>
    </row>
    <row r="130" spans="1:13" x14ac:dyDescent="0.25">
      <c r="B130" s="1" t="s">
        <v>90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91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161</v>
      </c>
    </row>
    <row r="132" spans="1:13" s="5" customFormat="1" x14ac:dyDescent="0.25">
      <c r="A132" s="33" t="s">
        <v>83</v>
      </c>
      <c r="B132" s="33"/>
      <c r="C132" s="33"/>
      <c r="D132" s="33">
        <f>SUM(D122:D131)</f>
        <v>72019</v>
      </c>
      <c r="E132" s="33">
        <f>SUM(E122:E131)</f>
        <v>73080</v>
      </c>
      <c r="F132" s="34">
        <f t="shared" si="36"/>
        <v>-1.4518336070060207E-2</v>
      </c>
      <c r="G132" s="33">
        <f>SUM(G122:G131)</f>
        <v>74281</v>
      </c>
      <c r="H132" s="34">
        <f t="shared" si="37"/>
        <v>-3.0451932526487258E-2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92</v>
      </c>
      <c r="B133" s="33"/>
      <c r="C133" s="49">
        <f>1+1%</f>
        <v>1.01</v>
      </c>
      <c r="D133" s="33">
        <f>+D91+D96+D101+D110+D119+D132</f>
        <v>321475</v>
      </c>
      <c r="E133" s="33">
        <f>+E91+E96+E101+E110+E119+E132</f>
        <v>323156</v>
      </c>
      <c r="F133" s="34">
        <f t="shared" si="36"/>
        <v>-5.201822030226887E-3</v>
      </c>
      <c r="G133" s="33">
        <f t="shared" ref="G133" si="39">+G91+G96+G101+G110+G119+G132</f>
        <v>315055</v>
      </c>
      <c r="H133" s="34">
        <f t="shared" si="37"/>
        <v>2.0377394423195951E-2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93</v>
      </c>
      <c r="F135" s="8"/>
    </row>
    <row r="136" spans="1:13" x14ac:dyDescent="0.25">
      <c r="A136" s="5" t="s">
        <v>94</v>
      </c>
      <c r="F136" s="8"/>
    </row>
    <row r="137" spans="1:13" x14ac:dyDescent="0.25">
      <c r="B137" s="1" t="s">
        <v>96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153</v>
      </c>
    </row>
    <row r="138" spans="1:13" x14ac:dyDescent="0.25">
      <c r="B138" s="1" t="s">
        <v>97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98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99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152</v>
      </c>
    </row>
    <row r="141" spans="1:13" x14ac:dyDescent="0.25">
      <c r="B141" s="1" t="s">
        <v>100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101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102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103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104</v>
      </c>
      <c r="F146" s="8"/>
    </row>
    <row r="147" spans="1:13" x14ac:dyDescent="0.25">
      <c r="B147" s="1" t="s">
        <v>105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106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107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3" t="s">
        <v>143</v>
      </c>
      <c r="C150" s="43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108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154</v>
      </c>
    </row>
    <row r="152" spans="1:13" x14ac:dyDescent="0.25">
      <c r="B152" s="1" t="s">
        <v>109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111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110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112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113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114</v>
      </c>
      <c r="F158" s="8"/>
    </row>
    <row r="159" spans="1:13" x14ac:dyDescent="0.25">
      <c r="A159" s="5" t="s">
        <v>115</v>
      </c>
      <c r="F159" s="8"/>
    </row>
    <row r="160" spans="1:13" x14ac:dyDescent="0.25">
      <c r="B160" s="1" t="s">
        <v>116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120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121</v>
      </c>
      <c r="B166" s="41"/>
      <c r="C166" s="41"/>
      <c r="D166" s="40">
        <f>+D82+D133+D156+D164+D31</f>
        <v>575797</v>
      </c>
      <c r="E166" s="40">
        <f>+E82+E133+E156+E164+E31</f>
        <v>578306</v>
      </c>
      <c r="F166" s="42">
        <f t="shared" ref="F166:F167" si="50">IF(E166=0,"NA",(+D166-E166)/E166)</f>
        <v>-4.3385335791086381E-3</v>
      </c>
      <c r="G166" s="40">
        <f>+G82+G133+G156+G164+G31</f>
        <v>564589</v>
      </c>
      <c r="H166" s="42">
        <f>IF(G166=0,"NA",(+D166-G166)/G166)</f>
        <v>1.9851608869460795E-2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122</v>
      </c>
      <c r="B167" s="41"/>
      <c r="C167" s="41"/>
      <c r="D167" s="40">
        <f>+D22-D166</f>
        <v>-43</v>
      </c>
      <c r="E167" s="40">
        <f>+E22-E166</f>
        <v>694</v>
      </c>
      <c r="F167" s="42">
        <f t="shared" si="50"/>
        <v>-1.0619596541786744</v>
      </c>
      <c r="G167" s="40">
        <f>+G22-G166</f>
        <v>5663</v>
      </c>
      <c r="H167" s="42">
        <f>IF(G167=0,"NA",(+D167-G167)/G167)</f>
        <v>-1.007593148507858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2011-12-07T18:40:08Z</cp:lastPrinted>
  <dcterms:created xsi:type="dcterms:W3CDTF">2011-12-01T18:07:46Z</dcterms:created>
  <dcterms:modified xsi:type="dcterms:W3CDTF">2011-12-15T14:31:51Z</dcterms:modified>
</cp:coreProperties>
</file>